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2"/>
  </bookViews>
  <sheets>
    <sheet name="Parameters" sheetId="1" state="visible" r:id="rId1"/>
    <sheet name="Certified Calculator" sheetId="2" state="visible" r:id="rId2"/>
    <sheet name="DIY Calculator" sheetId="3" state="visible" r:id="rId3"/>
  </sheets>
  <definedNames>
    <definedName name="hwcost" hidden="0">Parameters!$C$13</definedName>
    <definedName name="power_cost" hidden="0">Parameters!$C$15</definedName>
    <definedName name="tokenpricestart" hidden="0">Parameters!$C$28</definedName>
    <definedName name="tokenend" hidden="0">Parameters!$C$30</definedName>
    <definedName name="powerutilisation" hidden="0">Parameters!$C$14</definedName>
    <definedName name="cu_reward" hidden="0">Parameters!$C$23</definedName>
    <definedName name="su_reward" hidden="0">Parameters!$C$24</definedName>
    <definedName name="tokenavg" hidden="0">Parameters!$C$29</definedName>
    <definedName name="cuprice" hidden="0">Parameters!$C$19</definedName>
    <definedName name="suprice" hidden="0">Parameters!$C$20</definedName>
    <definedName name="avgdiscount" hidden="0">Parameters!$C$18</definedName>
    <definedName name="numonth" hidden="0">Parameters!$C$11</definedName>
    <definedName name="nutft" hidden="0">Parameters!$C$25</definedName>
  </definedNames>
  <calcPr/>
</workbook>
</file>

<file path=xl/sharedStrings.xml><?xml version="1.0" encoding="utf-8"?>
<sst xmlns="http://schemas.openxmlformats.org/spreadsheetml/2006/main" count="83" uniqueCount="83">
  <si>
    <t>PARAMETERS</t>
  </si>
  <si>
    <t xml:space="preserve">CU &amp; SU Calculator</t>
  </si>
  <si>
    <t xml:space="preserve">nr of logical CPU cores</t>
  </si>
  <si>
    <t xml:space="preserve">in logical cores</t>
  </si>
  <si>
    <t xml:space="preserve">nr of GB or memory</t>
  </si>
  <si>
    <t xml:space="preserve">GB mem</t>
  </si>
  <si>
    <t xml:space="preserve">nr of HDD space</t>
  </si>
  <si>
    <t xml:space="preserve">GB harddisk</t>
  </si>
  <si>
    <t xml:space="preserve">nr of SSD space</t>
  </si>
  <si>
    <t xml:space="preserve">GB ssd</t>
  </si>
  <si>
    <t xml:space="preserve">nr CU</t>
  </si>
  <si>
    <t xml:space="preserve">nr SU</t>
  </si>
  <si>
    <t xml:space="preserve">nr NU per month</t>
  </si>
  <si>
    <t xml:space="preserve">nr GB the environment will use, default 30x CU</t>
  </si>
  <si>
    <t xml:space="preserve">investment cost HW</t>
  </si>
  <si>
    <t xml:space="preserve">Power utilization</t>
  </si>
  <si>
    <t>watt</t>
  </si>
  <si>
    <t xml:space="preserve">Power cost kw/h</t>
  </si>
  <si>
    <t xml:space="preserve">TFT pricing for capacity</t>
  </si>
  <si>
    <t xml:space="preserve">avg discount</t>
  </si>
  <si>
    <t xml:space="preserve">max 60%</t>
  </si>
  <si>
    <t xml:space="preserve">discount as people stake their tokens in their wallet</t>
  </si>
  <si>
    <t>CU</t>
  </si>
  <si>
    <t xml:space="preserve">mTFT/hour (1/1000)</t>
  </si>
  <si>
    <t>mUSD/hour</t>
  </si>
  <si>
    <t xml:space="preserve">pegged to USD, tft price calculated back from USD price every hour</t>
  </si>
  <si>
    <t>SU</t>
  </si>
  <si>
    <t xml:space="preserve">TFT reward </t>
  </si>
  <si>
    <t xml:space="preserve">for DIY</t>
  </si>
  <si>
    <t xml:space="preserve">  certified 25% higher</t>
  </si>
  <si>
    <t xml:space="preserve">reward per CU</t>
  </si>
  <si>
    <t>TFT</t>
  </si>
  <si>
    <t xml:space="preserve">in USD</t>
  </si>
  <si>
    <t xml:space="preserve">is registered on TFChain, at registration</t>
  </si>
  <si>
    <t xml:space="preserve">reward per SU</t>
  </si>
  <si>
    <t xml:space="preserve">pegged to USD</t>
  </si>
  <si>
    <t xml:space="preserve">reward per NU</t>
  </si>
  <si>
    <t xml:space="preserve">not registered on TFChain, so not fixed</t>
  </si>
  <si>
    <t xml:space="preserve">Token Price </t>
  </si>
  <si>
    <t xml:space="preserve">price of TFT at point of registration on blockchain</t>
  </si>
  <si>
    <t>USD</t>
  </si>
  <si>
    <t xml:space="preserve">average token price</t>
  </si>
  <si>
    <t xml:space="preserve">token price after 5 years</t>
  </si>
  <si>
    <t xml:space="preserve">Change only RED Cells</t>
  </si>
  <si>
    <t xml:space="preserve">Farming Reward Calculator Certified</t>
  </si>
  <si>
    <t>NU</t>
  </si>
  <si>
    <t xml:space="preserve">Cloud Unit sales price (avg out) in TFT</t>
  </si>
  <si>
    <t xml:space="preserve">TFT per month, after discount, averaged out</t>
  </si>
  <si>
    <t xml:space="preserve">farming reward</t>
  </si>
  <si>
    <t xml:space="preserve">in TFT per unit, registered on blockchain when registering for CU/SU only, pegged to USD</t>
  </si>
  <si>
    <t xml:space="preserve">nr of cloud units for proof of capacity</t>
  </si>
  <si>
    <t xml:space="preserve">CU &amp; SU is same for each month, NU is avg used GB per month (input comes from CU_SU_calculator TAB)</t>
  </si>
  <si>
    <t xml:space="preserve">avg usage of capacity over 5Y</t>
  </si>
  <si>
    <t xml:space="preserve">nr of cloud units for proof of utilization</t>
  </si>
  <si>
    <t xml:space="preserve">how many units where used average per month over 5 years</t>
  </si>
  <si>
    <t xml:space="preserve">percent of capacity farmer has been able to sell directly</t>
  </si>
  <si>
    <t xml:space="preserve">farmer acts as own sales channel</t>
  </si>
  <si>
    <t xml:space="preserve">power utilization (average)</t>
  </si>
  <si>
    <t xml:space="preserve">token price start</t>
  </si>
  <si>
    <t xml:space="preserve">token price avg (over 5Y)</t>
  </si>
  <si>
    <t xml:space="preserve">token price end</t>
  </si>
  <si>
    <t xml:space="preserve">monthly income TFT proof of capacity</t>
  </si>
  <si>
    <t xml:space="preserve">monthly income TFT proof of utilization</t>
  </si>
  <si>
    <t xml:space="preserve">nr of TFT at end of 5 Year</t>
  </si>
  <si>
    <t xml:space="preserve">TFT over 5 Year</t>
  </si>
  <si>
    <t xml:space="preserve">USD income at end of 5 Year</t>
  </si>
  <si>
    <t xml:space="preserve">USD income over 5 years (TFT price at end)</t>
  </si>
  <si>
    <t xml:space="preserve">Total income</t>
  </si>
  <si>
    <t xml:space="preserve">Investment cost hardware</t>
  </si>
  <si>
    <t xml:space="preserve">Cost of power usage total</t>
  </si>
  <si>
    <t xml:space="preserve">net profit</t>
  </si>
  <si>
    <t>ROI</t>
  </si>
  <si>
    <t>remarks</t>
  </si>
  <si>
    <t xml:space="preserve">- Once a node is registered the Cloud Unit reward are registered on the blockchain, your farming will be in line with those parameters till end of life.</t>
  </si>
  <si>
    <t xml:space="preserve">- Farmed TFT gets staked (pooled) per 3Node (per server) and only unlock if +30% is used of capacity or max of 24 months.</t>
  </si>
  <si>
    <t xml:space="preserve">- Minimal SLA's need to be achieved before the farming reward can be earned (uptime, bandwidth, latency, ...)</t>
  </si>
  <si>
    <t xml:space="preserve">- If you delete your 3Node, the staked tokens will remain on your name and come available after 24 months since start.</t>
  </si>
  <si>
    <t xml:space="preserve">- you can sell your own capacity, this will give you additional 40% cultivation rewards (so 50% total), the rest is for marketing and burning.</t>
  </si>
  <si>
    <t xml:space="preserve">- These are farming logic terms for 3.0</t>
  </si>
  <si>
    <t xml:space="preserve">- Cost of rackspace of datacenter is not in this simulation</t>
  </si>
  <si>
    <t xml:space="preserve">See our ThreeFold library for more info</t>
  </si>
  <si>
    <t xml:space="preserve">THIS SHEET IS DELIVERED AS IS, NO PROMISES IN ANY SENSE ARE MADE</t>
  </si>
  <si>
    <t xml:space="preserve">TFT is not an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</si>
</sst>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0" formatCode="0.0"/>
  </numFmts>
  <fonts count="12">
    <font>
      <name val="Calibri"/>
      <color theme="1"/>
      <sz val="11"/>
      <scheme val="minor"/>
    </font>
    <font>
      <name val="Calibri"/>
      <b/>
      <color theme="1"/>
      <sz val="11"/>
      <scheme val="minor"/>
    </font>
    <font>
      <name val="Calibri"/>
      <b/>
      <color indexed="2"/>
      <sz val="11"/>
      <scheme val="minor"/>
    </font>
    <font>
      <name val="Calibri"/>
      <i/>
      <color theme="1"/>
      <sz val="11"/>
      <scheme val="minor"/>
    </font>
    <font>
      <name val="Calibri"/>
      <color theme="1" tint="0"/>
      <sz val="11"/>
      <scheme val="minor"/>
    </font>
    <font>
      <name val="Calibri"/>
      <color indexed="2"/>
      <sz val="9"/>
      <scheme val="minor"/>
    </font>
    <font>
      <name val="Calibri"/>
      <color indexed="2"/>
      <sz val="11"/>
      <scheme val="minor"/>
    </font>
    <font>
      <name val="Arial"/>
      <b/>
      <i/>
      <color theme="1"/>
      <sz val="10"/>
    </font>
    <font>
      <name val="Arial"/>
      <i/>
      <color theme="1"/>
      <sz val="9"/>
    </font>
    <font>
      <name val="Arial"/>
      <b/>
      <i/>
      <color theme="1"/>
      <sz val="9"/>
    </font>
    <font>
      <name val="Arial"/>
      <i/>
      <color theme="1"/>
      <sz val="10"/>
    </font>
    <font>
      <name val="Calibri"/>
      <color theme="10"/>
      <sz val="11"/>
      <u val="single"/>
    </font>
  </fonts>
  <fills count="3">
    <fill>
      <patternFill patternType="none"/>
    </fill>
    <fill>
      <patternFill patternType="gray125"/>
    </fill>
    <fill/>
  </fills>
  <borders count="1">
    <border>
      <left/>
      <right/>
      <top/>
      <bottom/>
      <diagonal/>
    </border>
  </borders>
  <cellStyleXfs count="2">
    <xf fontId="0" fillId="0" borderId="0" numFmtId="0" applyNumberFormat="1" applyFont="1" applyFill="1" applyBorder="1"/>
    <xf fontId="0" fillId="2" borderId="0" numFmtId="9" applyNumberFormat="1" applyFont="0" applyFill="0" applyBorder="0"/>
  </cellStyleXfs>
  <cellXfs count="33">
    <xf fontId="0" fillId="0" borderId="0" numFmtId="0" xfId="0"/>
    <xf fontId="1" fillId="0" borderId="0" numFmtId="0" xfId="0" applyFont="1"/>
    <xf fontId="2" fillId="0" borderId="0" numFmtId="0" xfId="0" applyFont="1"/>
    <xf fontId="1" fillId="0" borderId="0" numFmtId="2" xfId="0" applyNumberFormat="1" applyFont="1"/>
    <xf fontId="1" fillId="0" borderId="0" numFmtId="2" xfId="0" applyNumberFormat="1" applyFont="1" applyAlignment="1">
      <alignment horizontal="right"/>
    </xf>
    <xf fontId="1" fillId="0" borderId="0" numFmtId="1" xfId="0" applyNumberFormat="1" applyFont="1" applyAlignment="1">
      <alignment horizontal="right"/>
    </xf>
    <xf fontId="0" fillId="0" borderId="0" numFmtId="0" xfId="0"/>
    <xf fontId="2" fillId="0" borderId="0" numFmtId="9" xfId="0" applyNumberFormat="1" applyFont="1"/>
    <xf fontId="0" fillId="0" borderId="0" numFmtId="0" xfId="0" applyAlignment="1">
      <alignment horizontal="left"/>
    </xf>
    <xf fontId="1" fillId="0" borderId="0" numFmtId="0" xfId="0" applyFont="1" applyAlignment="1">
      <alignment horizontal="right"/>
    </xf>
    <xf fontId="0" fillId="0" borderId="0" numFmtId="160" xfId="0" applyNumberFormat="1"/>
    <xf fontId="0" fillId="0" borderId="0" numFmtId="1" xfId="0" applyNumberFormat="1"/>
    <xf fontId="3" fillId="0" borderId="0" numFmtId="0" xfId="0" applyFont="1"/>
    <xf fontId="4" fillId="0" borderId="0" numFmtId="0" xfId="0" applyFont="1"/>
    <xf fontId="5" fillId="0" borderId="0" numFmtId="0" xfId="0" applyFont="1"/>
    <xf fontId="4" fillId="0" borderId="0" numFmtId="1" xfId="0" applyNumberFormat="1" applyFont="1" applyAlignment="1">
      <alignment horizontal="right"/>
    </xf>
    <xf fontId="4" fillId="0" borderId="0" numFmtId="2" xfId="0" applyNumberFormat="1" applyFont="1" applyAlignment="1">
      <alignment horizontal="right"/>
    </xf>
    <xf fontId="4" fillId="0" borderId="0" numFmtId="160" xfId="0" applyNumberFormat="1" applyFont="1" applyAlignment="1">
      <alignment horizontal="right"/>
    </xf>
    <xf fontId="0" fillId="0" borderId="0" numFmtId="2" xfId="0" applyNumberFormat="1" applyAlignment="1">
      <alignment horizontal="right"/>
    </xf>
    <xf fontId="0" fillId="0" borderId="0" numFmtId="0" xfId="0" applyAlignment="1">
      <alignment horizontal="right"/>
    </xf>
    <xf fontId="4" fillId="0" borderId="0" numFmtId="2" xfId="0" applyNumberFormat="1" applyFont="1"/>
    <xf fontId="6" fillId="0" borderId="0" numFmtId="0" xfId="0" applyFont="1"/>
    <xf fontId="4" fillId="0" borderId="0" numFmtId="9" xfId="0" applyNumberFormat="1" applyFont="1"/>
    <xf fontId="0" fillId="0" borderId="0" numFmtId="3" xfId="0" applyNumberFormat="1"/>
    <xf fontId="4" fillId="0" borderId="0" numFmtId="3" xfId="0" applyNumberFormat="1" applyFont="1"/>
    <xf fontId="4" fillId="0" borderId="0" numFmtId="0" xfId="0" applyFont="1" applyAlignment="1">
      <alignment horizontal="right"/>
    </xf>
    <xf fontId="1" fillId="0" borderId="0" numFmtId="9" xfId="1" applyNumberFormat="1" applyFont="1"/>
    <xf fontId="7" fillId="0" borderId="0" numFmtId="0" xfId="0" applyFont="1"/>
    <xf fontId="8" fillId="0" borderId="0" numFmtId="0" xfId="0" applyFont="1"/>
    <xf fontId="9" fillId="0" borderId="0" numFmtId="0" xfId="0" applyFont="1"/>
    <xf fontId="8" fillId="0" borderId="0" numFmtId="0" xfId="0" applyFont="1" quotePrefix="1"/>
    <xf fontId="10" fillId="0" borderId="0" numFmtId="0" xfId="0" applyFont="1" applyAlignment="1">
      <alignment horizontal="left"/>
    </xf>
    <xf fontId="11" fillId="0" borderId="0" numFmt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5</xdr:col>
      <xdr:colOff>100009</xdr:colOff>
      <xdr:row>31</xdr:row>
      <xdr:rowOff>114298</xdr:rowOff>
    </xdr:from>
    <xdr:to>
      <xdr:col>6</xdr:col>
      <xdr:colOff>2252660</xdr:colOff>
      <xdr:row>33</xdr:row>
      <xdr:rowOff>77080</xdr:rowOff>
    </xdr:to>
    <xdr:pic>
      <xdr:nvPicPr>
        <xdr:cNvPr id="4" name="" hidden="0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5724522" y="4838698"/>
          <a:ext cx="2266950" cy="3152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5</xdr:col>
      <xdr:colOff>100009</xdr:colOff>
      <xdr:row>31</xdr:row>
      <xdr:rowOff>114298</xdr:rowOff>
    </xdr:from>
    <xdr:to>
      <xdr:col>6</xdr:col>
      <xdr:colOff>2252660</xdr:colOff>
      <xdr:row>33</xdr:row>
      <xdr:rowOff>77080</xdr:rowOff>
    </xdr:to>
    <xdr:pic>
      <xdr:nvPicPr>
        <xdr:cNvPr id="4" name="" hidden="0"/>
        <xdr:cNvPicPr>
          <a:picLocks noChangeAspect="1"/>
        </xdr:cNvPicPr>
      </xdr:nvPicPr>
      <xdr:blipFill>
        <a:blip r:embed="rId1"/>
        <a:stretch/>
      </xdr:blipFill>
      <xdr:spPr bwMode="auto">
        <a:xfrm flipH="0" flipV="0">
          <a:off x="5724522" y="4838698"/>
          <a:ext cx="2266950" cy="315206"/>
        </a:xfrm>
        <a:prstGeom prst="rect">
          <a:avLst/>
        </a:prstGeom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3" Type="http://schemas.openxmlformats.org/officeDocument/2006/relationships/drawing" Target="../drawings/drawing1.xml"/><Relationship  Id="rId2" Type="http://schemas.openxmlformats.org/officeDocument/2006/relationships/hyperlink" Target="https://info.threefold.io/" TargetMode="External"/><Relationship  Id="rId1" Type="http://schemas.openxmlformats.org/officeDocument/2006/relationships/hyperlink" Target="https://wiki.threefold.io/#/threefold__farming_calculator" TargetMode="External"/></Relationships>
</file>

<file path=xl/worksheets/_rels/sheet3.xml.rels><?xml version="1.0" encoding="UTF-8" standalone="yes"?><Relationships xmlns="http://schemas.openxmlformats.org/package/2006/relationships"><Relationship  Id="rId3" Type="http://schemas.openxmlformats.org/officeDocument/2006/relationships/drawing" Target="../drawings/drawing2.xml"/><Relationship  Id="rId2" Type="http://schemas.openxmlformats.org/officeDocument/2006/relationships/hyperlink" Target="https://info.threefold.io/" TargetMode="External"/><Relationship  Id="rId1" Type="http://schemas.openxmlformats.org/officeDocument/2006/relationships/hyperlink" Target="https://wiki.threefold.io/#/threefold__farming_calcu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indexed="2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D34" activeCellId="0" sqref="D34"/>
    </sheetView>
  </sheetViews>
  <sheetFormatPr defaultRowHeight="14.25"/>
  <cols>
    <col bestFit="1" customWidth="1" min="1" max="1" width="4.26953125"/>
    <col customWidth="1" min="2" max="2" width="39.59765625"/>
  </cols>
  <sheetData>
    <row r="1" ht="13.9">
      <c r="B1" s="1" t="s">
        <v>0</v>
      </c>
    </row>
    <row r="2" ht="13.9"/>
    <row r="3" ht="13.9">
      <c r="B3" s="1" t="s">
        <v>1</v>
      </c>
    </row>
    <row r="4" ht="13.9">
      <c r="B4" t="s">
        <v>2</v>
      </c>
      <c r="C4" s="2">
        <v>8</v>
      </c>
      <c r="D4" t="s">
        <v>3</v>
      </c>
    </row>
    <row r="5" ht="13.9">
      <c r="B5" t="s">
        <v>4</v>
      </c>
      <c r="C5" s="2">
        <v>32</v>
      </c>
      <c r="D5" t="s">
        <v>5</v>
      </c>
    </row>
    <row r="6" ht="13.9">
      <c r="B6" t="s">
        <v>6</v>
      </c>
      <c r="C6" s="2">
        <v>10000</v>
      </c>
      <c r="D6" t="s">
        <v>7</v>
      </c>
    </row>
    <row r="7" ht="13.9">
      <c r="B7" t="s">
        <v>8</v>
      </c>
      <c r="C7" s="2">
        <v>1000</v>
      </c>
      <c r="D7" t="s">
        <v>9</v>
      </c>
    </row>
    <row r="8" ht="13.9"/>
    <row r="9" ht="13.9">
      <c r="B9" s="1" t="s">
        <v>10</v>
      </c>
      <c r="C9" s="3">
        <f>MIN((C5-1)/4,C4*4/2)</f>
        <v>7.75</v>
      </c>
    </row>
    <row r="10" ht="13.9">
      <c r="B10" s="1" t="s">
        <v>11</v>
      </c>
      <c r="C10" s="4">
        <f>C6/1200+(C7/300)*0.8</f>
        <v>11</v>
      </c>
    </row>
    <row r="11" ht="13.9">
      <c r="B11" s="1" t="s">
        <v>12</v>
      </c>
      <c r="C11" s="5">
        <f>C9*30</f>
        <v>232.5</v>
      </c>
      <c r="D11" t="s">
        <v>13</v>
      </c>
    </row>
    <row r="12" ht="13.9"/>
    <row r="13" ht="13.9">
      <c r="B13" t="s">
        <v>14</v>
      </c>
      <c r="C13" s="2">
        <v>1400</v>
      </c>
    </row>
    <row r="14" ht="13.9">
      <c r="B14" s="6" t="s">
        <v>15</v>
      </c>
      <c r="C14" s="2">
        <v>40</v>
      </c>
      <c r="D14" t="s">
        <v>16</v>
      </c>
    </row>
    <row r="15" ht="13.9">
      <c r="B15" s="6" t="s">
        <v>17</v>
      </c>
      <c r="C15" s="2">
        <v>0.14999999999999999</v>
      </c>
    </row>
    <row r="16" ht="13.9">
      <c r="C16" s="1"/>
    </row>
    <row r="17" ht="13.9">
      <c r="B17" s="1" t="s">
        <v>18</v>
      </c>
      <c r="C17" s="1"/>
    </row>
    <row r="18" ht="13.9">
      <c r="B18" s="6" t="s">
        <v>19</v>
      </c>
      <c r="C18" s="7">
        <v>0.29999999999999999</v>
      </c>
      <c r="D18" s="8" t="s">
        <v>20</v>
      </c>
      <c r="G18" s="9"/>
      <c r="J18" t="s">
        <v>21</v>
      </c>
    </row>
    <row r="19" ht="13.9">
      <c r="B19" s="6" t="s">
        <v>22</v>
      </c>
      <c r="C19" s="10">
        <f t="shared" ref="C19:C20" si="0">G19/C$29*(1-avgdiscount)</f>
        <v>39.999999999999993</v>
      </c>
      <c r="D19" s="6" t="s">
        <v>23</v>
      </c>
      <c r="G19" s="10">
        <v>30</v>
      </c>
      <c r="H19" t="s">
        <v>24</v>
      </c>
      <c r="J19" t="s">
        <v>25</v>
      </c>
    </row>
    <row r="20" ht="13.9">
      <c r="B20" s="6" t="s">
        <v>26</v>
      </c>
      <c r="C20" s="10">
        <f t="shared" si="0"/>
        <v>19.999999999999996</v>
      </c>
      <c r="D20" s="6" t="s">
        <v>23</v>
      </c>
      <c r="G20" s="10">
        <v>15</v>
      </c>
      <c r="H20" s="6" t="s">
        <v>24</v>
      </c>
    </row>
    <row r="21" ht="13.9">
      <c r="B21" s="6"/>
      <c r="C21" s="10"/>
      <c r="D21" s="11"/>
    </row>
    <row r="22" ht="13.9">
      <c r="B22" s="1" t="s">
        <v>27</v>
      </c>
      <c r="C22" s="1"/>
      <c r="G22" s="9" t="s">
        <v>28</v>
      </c>
      <c r="H22" s="12" t="s">
        <v>29</v>
      </c>
    </row>
    <row r="23" ht="13.9">
      <c r="B23" t="s">
        <v>30</v>
      </c>
      <c r="C23">
        <f t="shared" ref="C23:C25" si="1">G23/C$28</f>
        <v>47.999999999999993</v>
      </c>
      <c r="D23" t="s">
        <v>31</v>
      </c>
      <c r="G23">
        <f>16*0.15</f>
        <v>2.3999999999999999</v>
      </c>
      <c r="H23" t="s">
        <v>32</v>
      </c>
      <c r="J23" t="s">
        <v>33</v>
      </c>
    </row>
    <row r="24" ht="13.9">
      <c r="B24" s="6" t="s">
        <v>34</v>
      </c>
      <c r="C24" s="6">
        <f t="shared" si="1"/>
        <v>30</v>
      </c>
      <c r="D24" s="6" t="s">
        <v>31</v>
      </c>
      <c r="G24" s="6">
        <f>10*0.15</f>
        <v>1.5</v>
      </c>
      <c r="H24" s="6" t="s">
        <v>32</v>
      </c>
      <c r="J24" s="6" t="s">
        <v>35</v>
      </c>
    </row>
    <row r="25" ht="13.9">
      <c r="A25" s="6"/>
      <c r="B25" s="6" t="s">
        <v>36</v>
      </c>
      <c r="C25" s="6">
        <f t="shared" si="1"/>
        <v>0.59999999999999998</v>
      </c>
      <c r="D25" s="6" t="s">
        <v>31</v>
      </c>
      <c r="E25" s="6"/>
      <c r="F25" s="6"/>
      <c r="G25" s="6">
        <f>0.2*0.15</f>
        <v>0.029999999999999999</v>
      </c>
      <c r="H25" s="6" t="s">
        <v>32</v>
      </c>
      <c r="J25" s="6" t="s">
        <v>37</v>
      </c>
    </row>
    <row r="26" ht="13.9"/>
    <row r="27" ht="13.9">
      <c r="B27" s="1" t="s">
        <v>38</v>
      </c>
    </row>
    <row r="28" ht="13.9">
      <c r="B28" t="s">
        <v>39</v>
      </c>
      <c r="C28" s="2">
        <v>0.050000000000000003</v>
      </c>
      <c r="D28" t="s">
        <v>40</v>
      </c>
    </row>
    <row r="29" ht="13.9">
      <c r="B29" s="6" t="s">
        <v>41</v>
      </c>
      <c r="C29" s="13">
        <f>(C28+C30)/2</f>
        <v>0.52500000000000002</v>
      </c>
      <c r="D29" s="6" t="s">
        <v>40</v>
      </c>
    </row>
    <row r="30" ht="13.9">
      <c r="B30" t="s">
        <v>42</v>
      </c>
      <c r="C30" s="2">
        <v>1</v>
      </c>
      <c r="D30" t="s">
        <v>40</v>
      </c>
    </row>
  </sheetData>
  <printOptions headings="0" gridLines="0" gridLinesSet="0"/>
  <pageMargins left="0.70078740157480324" right="0.70078740157480324" top="0.75196850393700787" bottom="0.75196850393700787" header="0.29999999999999999" footer="0.29999999999999999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92D050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B21" activeCellId="0" sqref="B21"/>
    </sheetView>
  </sheetViews>
  <sheetFormatPr defaultRowHeight="14.25"/>
  <cols>
    <col bestFit="1" customWidth="1" min="1" max="1" width="2.796875"/>
    <col bestFit="1" customWidth="1" min="2" max="2" width="48.7109375"/>
    <col bestFit="1" customWidth="1" min="6" max="6" width="1.59765625"/>
    <col bestFit="1" customWidth="1" min="7" max="7" width="61.19921875"/>
  </cols>
  <sheetData>
    <row r="1" ht="13.9">
      <c r="G1" s="14" t="s">
        <v>43</v>
      </c>
    </row>
    <row r="2" ht="13.9">
      <c r="B2" s="1" t="s">
        <v>44</v>
      </c>
      <c r="C2" s="9" t="s">
        <v>22</v>
      </c>
      <c r="D2" s="9" t="s">
        <v>26</v>
      </c>
      <c r="E2" s="9" t="s">
        <v>45</v>
      </c>
      <c r="F2" s="9"/>
    </row>
    <row r="3" ht="6.4000000000000004" customHeight="1">
      <c r="C3" s="9"/>
      <c r="D3" s="9"/>
      <c r="E3" s="9"/>
      <c r="F3" s="9"/>
    </row>
    <row r="4" ht="6.4000000000000004" customHeight="1">
      <c r="C4" s="9"/>
      <c r="D4" s="9"/>
      <c r="E4" s="9"/>
      <c r="F4" s="9"/>
    </row>
    <row r="5" ht="13.9" customHeight="1">
      <c r="B5" s="6" t="s">
        <v>46</v>
      </c>
      <c r="C5" s="15">
        <f>cuprice*24*30/1000*(1+25%)</f>
        <v>35.999999999999993</v>
      </c>
      <c r="D5" s="15">
        <f>suprice*24*30/1000*(1+25%)</f>
        <v>17.999999999999996</v>
      </c>
      <c r="E5" s="16"/>
      <c r="F5" s="16"/>
      <c r="G5" s="6" t="s">
        <v>47</v>
      </c>
    </row>
    <row r="6" ht="8.3000000000000007" customHeight="1">
      <c r="B6" s="6"/>
      <c r="C6" s="17"/>
      <c r="D6" s="17"/>
      <c r="E6" s="16"/>
      <c r="F6" s="16"/>
      <c r="G6" s="6"/>
    </row>
    <row r="7" ht="13.9" customHeight="1">
      <c r="B7" t="s">
        <v>48</v>
      </c>
      <c r="C7" s="18">
        <f>Parameters!C23*1.25</f>
        <v>59.999999999999993</v>
      </c>
      <c r="D7" s="18">
        <f>Parameters!C24*1.25</f>
        <v>37.5</v>
      </c>
      <c r="E7" s="19">
        <f>nutft</f>
        <v>0.59999999999999998</v>
      </c>
      <c r="F7" s="19"/>
      <c r="G7" s="6" t="s">
        <v>49</v>
      </c>
    </row>
    <row r="8" ht="6.4000000000000004" customHeight="1">
      <c r="C8" s="9"/>
      <c r="D8" s="9"/>
      <c r="E8" s="9"/>
      <c r="F8" s="9"/>
    </row>
    <row r="9" ht="13.9">
      <c r="B9" t="s">
        <v>50</v>
      </c>
      <c r="C9" s="20">
        <f>Parameters!C9</f>
        <v>7.75</v>
      </c>
      <c r="D9" s="20">
        <f>Parameters!C10</f>
        <v>11</v>
      </c>
      <c r="F9" s="21"/>
      <c r="G9" t="s">
        <v>51</v>
      </c>
    </row>
    <row r="10" ht="13.9">
      <c r="A10" s="6"/>
      <c r="B10" s="6" t="s">
        <v>52</v>
      </c>
      <c r="C10" s="7">
        <v>0.75</v>
      </c>
      <c r="D10" s="22">
        <f>C10</f>
        <v>0.75</v>
      </c>
      <c r="E10" s="2"/>
      <c r="F10" s="21"/>
      <c r="G10" s="6"/>
    </row>
    <row r="11" ht="13.9">
      <c r="B11" s="6" t="s">
        <v>53</v>
      </c>
      <c r="C11" s="20">
        <f>C10*C9</f>
        <v>5.8125</v>
      </c>
      <c r="D11" s="20">
        <f>D10*D9</f>
        <v>8.25</v>
      </c>
      <c r="E11" s="13">
        <f>numonth</f>
        <v>232.5</v>
      </c>
      <c r="F11" s="19"/>
      <c r="G11" t="s">
        <v>54</v>
      </c>
    </row>
    <row r="12" ht="7.5" customHeight="1"/>
    <row r="13" ht="13.9">
      <c r="B13" t="s">
        <v>55</v>
      </c>
      <c r="C13" s="7">
        <v>0.10000000000000001</v>
      </c>
      <c r="G13" t="s">
        <v>56</v>
      </c>
    </row>
    <row r="14" ht="7.5" customHeight="1"/>
    <row r="15" ht="13.9">
      <c r="B15" s="6" t="s">
        <v>57</v>
      </c>
      <c r="C15" s="13">
        <f>powerutilisation</f>
        <v>40</v>
      </c>
      <c r="G15" s="6" t="s">
        <v>16</v>
      </c>
    </row>
    <row r="16" ht="6.4000000000000004" customHeight="1"/>
    <row r="17" ht="13.9">
      <c r="B17" t="s">
        <v>58</v>
      </c>
      <c r="C17" s="13">
        <f>tokenpricestart</f>
        <v>0.050000000000000003</v>
      </c>
      <c r="G17" t="s">
        <v>40</v>
      </c>
    </row>
    <row r="18" ht="13.9">
      <c r="B18" t="s">
        <v>59</v>
      </c>
      <c r="C18">
        <f>(C17+C19)/2</f>
        <v>0.52500000000000002</v>
      </c>
      <c r="G18" t="s">
        <v>40</v>
      </c>
    </row>
    <row r="19" ht="13.9">
      <c r="B19" t="s">
        <v>60</v>
      </c>
      <c r="C19" s="13">
        <f>tokenend</f>
        <v>1</v>
      </c>
      <c r="G19" t="s">
        <v>40</v>
      </c>
    </row>
    <row r="20" ht="9.4000000000000004" customHeight="1"/>
    <row r="21" ht="13.9">
      <c r="B21" t="s">
        <v>61</v>
      </c>
      <c r="C21" s="23">
        <f>C9*C7</f>
        <v>464.99999999999994</v>
      </c>
      <c r="D21" s="23">
        <f>D9*D7</f>
        <v>412.5</v>
      </c>
      <c r="E21" s="23"/>
      <c r="F21" s="6"/>
      <c r="G21" t="s">
        <v>31</v>
      </c>
      <c r="H21" s="23"/>
    </row>
    <row r="22" ht="13.9">
      <c r="B22" s="6" t="s">
        <v>62</v>
      </c>
      <c r="C22" s="23">
        <f>C5*C11*(10%+40%*$C13)</f>
        <v>29.294999999999998</v>
      </c>
      <c r="D22" s="23">
        <f>D5*D11*(10%+40%*$C13)</f>
        <v>20.789999999999999</v>
      </c>
      <c r="E22" s="23">
        <f>E11*nutft</f>
        <v>139.5</v>
      </c>
      <c r="F22" s="6"/>
      <c r="G22" t="s">
        <v>31</v>
      </c>
    </row>
    <row r="23" ht="13.9">
      <c r="C23" s="23"/>
      <c r="D23" s="23"/>
    </row>
    <row r="24" ht="13.9">
      <c r="B24" t="s">
        <v>63</v>
      </c>
      <c r="C24" s="23">
        <f>(C21+C22)*60</f>
        <v>29657.699999999997</v>
      </c>
      <c r="D24" s="23">
        <f>(D21+D22)*60</f>
        <v>25997.400000000001</v>
      </c>
      <c r="E24" s="23">
        <f>(E21+E22)*60</f>
        <v>8370</v>
      </c>
      <c r="F24" s="6"/>
      <c r="G24" t="s">
        <v>64</v>
      </c>
    </row>
    <row r="25" ht="13.9">
      <c r="B25" t="s">
        <v>65</v>
      </c>
      <c r="C25" s="23">
        <f>C24*$C19</f>
        <v>29657.699999999997</v>
      </c>
      <c r="D25" s="23">
        <f>D24*$C19</f>
        <v>25997.400000000001</v>
      </c>
      <c r="E25" s="23">
        <f>E24*$C19</f>
        <v>8370</v>
      </c>
      <c r="F25" s="6"/>
      <c r="G25" t="s">
        <v>66</v>
      </c>
    </row>
    <row r="26" ht="8.6999999999999993" customHeight="1"/>
    <row r="27" ht="13.9">
      <c r="B27" t="s">
        <v>67</v>
      </c>
      <c r="C27" s="24">
        <f>SUM(C25:E25)</f>
        <v>64025.099999999999</v>
      </c>
      <c r="G27" t="s">
        <v>40</v>
      </c>
    </row>
    <row r="28" ht="13.9">
      <c r="B28" t="s">
        <v>68</v>
      </c>
      <c r="C28" s="24">
        <f>hwcost</f>
        <v>1400</v>
      </c>
      <c r="G28" t="s">
        <v>40</v>
      </c>
    </row>
    <row r="29" ht="13.9">
      <c r="A29" s="6"/>
      <c r="B29" s="6" t="s">
        <v>17</v>
      </c>
      <c r="C29" s="25">
        <f>power_cost</f>
        <v>0.14999999999999999</v>
      </c>
      <c r="D29" s="6"/>
      <c r="E29" s="6"/>
      <c r="F29" s="6"/>
      <c r="G29" s="6" t="s">
        <v>40</v>
      </c>
    </row>
    <row r="30" ht="13.9">
      <c r="A30" s="6"/>
      <c r="B30" s="6" t="s">
        <v>69</v>
      </c>
      <c r="C30" s="24">
        <f>C15*24*365*C29/1000*5</f>
        <v>262.80000000000001</v>
      </c>
      <c r="D30" s="6"/>
      <c r="E30" s="6"/>
      <c r="F30" s="6"/>
      <c r="G30" s="6" t="s">
        <v>40</v>
      </c>
    </row>
    <row r="31" ht="13.9">
      <c r="B31" s="6" t="s">
        <v>70</v>
      </c>
      <c r="C31" s="23">
        <f>C27-C30-C28</f>
        <v>62362.299999999996</v>
      </c>
    </row>
    <row r="32" ht="13.9">
      <c r="B32" s="6"/>
      <c r="C32" s="23"/>
    </row>
    <row r="33" ht="13.9">
      <c r="B33" t="s">
        <v>71</v>
      </c>
      <c r="C33" s="26">
        <f>(C27-(C28+C30))/(C28+C30)</f>
        <v>37.504390185229731</v>
      </c>
      <c r="E33" s="8"/>
      <c r="F33" s="8"/>
    </row>
    <row r="34" ht="13.9"/>
    <row r="35" ht="13.9"/>
    <row r="36" ht="13.9">
      <c r="B36" s="27" t="s">
        <v>72</v>
      </c>
    </row>
    <row r="37" ht="13.9">
      <c r="B37" s="28" t="s">
        <v>73</v>
      </c>
    </row>
    <row r="38" ht="13.9">
      <c r="B38" s="28" t="s">
        <v>74</v>
      </c>
    </row>
    <row r="39" ht="13.9">
      <c r="B39" s="28" t="s">
        <v>75</v>
      </c>
    </row>
    <row r="40" ht="13.9">
      <c r="B40" s="28" t="s">
        <v>76</v>
      </c>
    </row>
    <row r="41" ht="13.9">
      <c r="B41" s="29" t="s">
        <v>77</v>
      </c>
    </row>
    <row r="42" ht="13.9">
      <c r="B42" s="28" t="s">
        <v>78</v>
      </c>
    </row>
    <row r="43" ht="13.9">
      <c r="B43" s="30" t="s">
        <v>79</v>
      </c>
    </row>
    <row r="44" ht="13.9">
      <c r="B44" s="28"/>
    </row>
    <row r="45" ht="13.9"/>
    <row r="46" ht="13.9">
      <c r="B46" s="30"/>
    </row>
    <row r="47" ht="13.9">
      <c r="B47" s="31"/>
    </row>
    <row r="48" ht="13.9">
      <c r="B48" s="32" t="s">
        <v>80</v>
      </c>
    </row>
    <row r="49" ht="13.9"/>
    <row r="50" ht="13.9"/>
    <row r="51" ht="13.9">
      <c r="B51" s="1" t="s">
        <v>81</v>
      </c>
    </row>
    <row r="52" ht="13.9">
      <c r="B52" s="1" t="s">
        <v>82</v>
      </c>
    </row>
    <row r="53" ht="13.9"/>
    <row r="54" ht="13.9"/>
  </sheetData>
  <hyperlinks>
    <hyperlink r:id="rId1" ref="B48" tooltip=""/>
    <hyperlink r:id="rId2" ref="B49"/>
  </hyperlinks>
  <printOptions headings="0" gridLines="0" gridLinesSet="0"/>
  <pageMargins left="0.70078740157480324" right="0.70078740157480324" top="0.75196850393700787" bottom="0.75196850393700787" header="0.29999999999999999" footer="0.29999999999999999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39997558519241921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C14" activeCellId="0" sqref="C14"/>
    </sheetView>
  </sheetViews>
  <sheetFormatPr defaultRowHeight="14.25"/>
  <cols>
    <col bestFit="1" customWidth="1" min="1" max="1" width="2.796875"/>
    <col bestFit="1" customWidth="1" min="2" max="2" width="48.7109375"/>
    <col bestFit="1" customWidth="1" min="6" max="6" width="1.59765625"/>
    <col bestFit="1" customWidth="1" min="7" max="7" width="61.19921875"/>
  </cols>
  <sheetData>
    <row r="1" ht="14.25">
      <c r="G1" s="14" t="s">
        <v>43</v>
      </c>
    </row>
    <row r="2" ht="14.25">
      <c r="B2" s="1" t="s">
        <v>44</v>
      </c>
      <c r="C2" s="9" t="s">
        <v>22</v>
      </c>
      <c r="D2" s="9" t="s">
        <v>26</v>
      </c>
      <c r="E2" s="9" t="s">
        <v>45</v>
      </c>
      <c r="F2" s="9"/>
    </row>
    <row r="3" ht="6.4000000000000004" customHeight="1">
      <c r="C3" s="9"/>
      <c r="D3" s="9"/>
      <c r="E3" s="9"/>
      <c r="F3" s="9"/>
    </row>
    <row r="4" ht="6.4000000000000004" customHeight="1">
      <c r="C4" s="9"/>
      <c r="D4" s="9"/>
      <c r="E4" s="9"/>
      <c r="F4" s="9"/>
    </row>
    <row r="5" ht="13.9" customHeight="1">
      <c r="B5" s="6" t="s">
        <v>46</v>
      </c>
      <c r="C5" s="15">
        <f>cuprice*24*30/1000</f>
        <v>28.799999999999994</v>
      </c>
      <c r="D5" s="15">
        <f>suprice*24*30/1000</f>
        <v>14.399999999999997</v>
      </c>
      <c r="E5" s="16"/>
      <c r="F5" s="16"/>
      <c r="G5" s="6" t="s">
        <v>47</v>
      </c>
    </row>
    <row r="6" ht="8.3000000000000007" customHeight="1">
      <c r="B6" s="6"/>
      <c r="C6" s="17"/>
      <c r="D6" s="17"/>
      <c r="E6" s="16"/>
      <c r="F6" s="16"/>
      <c r="G6" s="6"/>
    </row>
    <row r="7" ht="13.9" customHeight="1">
      <c r="B7" t="s">
        <v>48</v>
      </c>
      <c r="C7" s="18">
        <f>Parameters!C23</f>
        <v>47.999999999999993</v>
      </c>
      <c r="D7" s="18">
        <f>Parameters!C24</f>
        <v>30</v>
      </c>
      <c r="E7" s="19">
        <f>nutft</f>
        <v>0.59999999999999998</v>
      </c>
      <c r="F7" s="19"/>
      <c r="G7" s="6" t="s">
        <v>49</v>
      </c>
    </row>
    <row r="8" ht="6.4000000000000004" customHeight="1">
      <c r="C8" s="9"/>
      <c r="D8" s="9"/>
      <c r="E8" s="9"/>
      <c r="F8" s="9"/>
    </row>
    <row r="9" ht="14.25">
      <c r="B9" t="s">
        <v>50</v>
      </c>
      <c r="C9" s="20">
        <f>Parameters!C9</f>
        <v>7.75</v>
      </c>
      <c r="D9" s="20">
        <f>Parameters!C10</f>
        <v>11</v>
      </c>
      <c r="F9" s="21"/>
      <c r="G9" s="6" t="s">
        <v>51</v>
      </c>
    </row>
    <row r="10" ht="14.25">
      <c r="A10" s="6"/>
      <c r="B10" s="6" t="s">
        <v>52</v>
      </c>
      <c r="C10" s="7">
        <v>0.75</v>
      </c>
      <c r="D10" s="22">
        <f>C10</f>
        <v>0.75</v>
      </c>
      <c r="E10" s="2"/>
      <c r="F10" s="21"/>
      <c r="G10" s="6"/>
    </row>
    <row r="11" ht="14.25">
      <c r="B11" s="6" t="s">
        <v>53</v>
      </c>
      <c r="C11" s="20">
        <f>C10*C9</f>
        <v>5.8125</v>
      </c>
      <c r="D11" s="20">
        <f>D10*D9</f>
        <v>8.25</v>
      </c>
      <c r="E11" s="13">
        <f>numonth</f>
        <v>232.5</v>
      </c>
      <c r="F11" s="19"/>
      <c r="G11" t="s">
        <v>54</v>
      </c>
    </row>
    <row r="12" ht="7.5" customHeight="1"/>
    <row r="13" ht="14.25">
      <c r="B13" t="s">
        <v>55</v>
      </c>
      <c r="C13" s="7">
        <v>0.10000000000000001</v>
      </c>
      <c r="G13" t="s">
        <v>56</v>
      </c>
    </row>
    <row r="14" ht="7.5" customHeight="1"/>
    <row r="15" ht="14.25">
      <c r="B15" s="6" t="s">
        <v>57</v>
      </c>
      <c r="C15" s="13">
        <f>powerutilisation</f>
        <v>40</v>
      </c>
      <c r="G15" s="6" t="s">
        <v>16</v>
      </c>
    </row>
    <row r="16" ht="6.4000000000000004" customHeight="1"/>
    <row r="17" ht="14.25">
      <c r="B17" t="s">
        <v>58</v>
      </c>
      <c r="C17" s="13">
        <f>tokenpricestart</f>
        <v>0.050000000000000003</v>
      </c>
      <c r="G17" t="s">
        <v>40</v>
      </c>
    </row>
    <row r="18" ht="14.25">
      <c r="B18" t="s">
        <v>59</v>
      </c>
      <c r="C18">
        <f>(C17+C19)/2</f>
        <v>0.52500000000000002</v>
      </c>
      <c r="G18" t="s">
        <v>40</v>
      </c>
    </row>
    <row r="19" ht="14.25">
      <c r="B19" t="s">
        <v>60</v>
      </c>
      <c r="C19" s="13">
        <f>tokenend</f>
        <v>1</v>
      </c>
      <c r="G19" t="s">
        <v>40</v>
      </c>
    </row>
    <row r="20" ht="9.4000000000000004" customHeight="1"/>
    <row r="21" ht="14.25">
      <c r="B21" t="s">
        <v>61</v>
      </c>
      <c r="C21" s="23">
        <f>C9*C7</f>
        <v>371.99999999999994</v>
      </c>
      <c r="D21" s="23">
        <f>D9*D7</f>
        <v>330</v>
      </c>
      <c r="E21" s="23"/>
      <c r="F21" s="6"/>
      <c r="G21" t="s">
        <v>31</v>
      </c>
    </row>
    <row r="22" ht="14.25">
      <c r="B22" s="6" t="s">
        <v>62</v>
      </c>
      <c r="C22" s="23">
        <f>C5*C11*(10%+40%*$C13)</f>
        <v>23.435999999999996</v>
      </c>
      <c r="D22" s="23">
        <f>D5*D11*(10%+40%*$C13)</f>
        <v>16.631999999999998</v>
      </c>
      <c r="E22" s="23">
        <f>E11*nutft</f>
        <v>139.5</v>
      </c>
      <c r="F22" s="6"/>
      <c r="G22" t="s">
        <v>31</v>
      </c>
    </row>
    <row r="23" ht="14.25">
      <c r="C23" s="23"/>
      <c r="D23" s="23"/>
    </row>
    <row r="24" ht="14.25">
      <c r="B24" t="s">
        <v>63</v>
      </c>
      <c r="C24" s="23">
        <f>(C21+C22)*60</f>
        <v>23726.159999999996</v>
      </c>
      <c r="D24" s="23">
        <f>(D21+D22)*60</f>
        <v>20797.920000000002</v>
      </c>
      <c r="E24" s="23">
        <f>(E21+E22)*60</f>
        <v>8370</v>
      </c>
      <c r="F24" s="6"/>
      <c r="G24" t="s">
        <v>64</v>
      </c>
    </row>
    <row r="25" ht="14.25">
      <c r="B25" t="s">
        <v>65</v>
      </c>
      <c r="C25" s="23">
        <f>C24*$C19</f>
        <v>23726.159999999996</v>
      </c>
      <c r="D25" s="23">
        <f>D24*$C19</f>
        <v>20797.920000000002</v>
      </c>
      <c r="E25" s="23">
        <f>E24*$C19</f>
        <v>8370</v>
      </c>
      <c r="F25" s="6"/>
      <c r="G25" t="s">
        <v>66</v>
      </c>
    </row>
    <row r="26" ht="8.6999999999999993" customHeight="1"/>
    <row r="27" ht="14.25">
      <c r="B27" t="s">
        <v>67</v>
      </c>
      <c r="C27" s="23">
        <f>SUM(C25:E25)</f>
        <v>52894.080000000002</v>
      </c>
      <c r="G27" t="s">
        <v>40</v>
      </c>
    </row>
    <row r="28" ht="14.25">
      <c r="B28" t="s">
        <v>68</v>
      </c>
      <c r="C28" s="24">
        <f>hwcost</f>
        <v>1400</v>
      </c>
      <c r="G28" t="s">
        <v>40</v>
      </c>
    </row>
    <row r="29" ht="14.25">
      <c r="A29" s="6"/>
      <c r="B29" s="6" t="s">
        <v>17</v>
      </c>
      <c r="C29" s="25">
        <f>power_cost</f>
        <v>0.14999999999999999</v>
      </c>
      <c r="D29" s="6"/>
      <c r="E29" s="6"/>
      <c r="F29" s="6"/>
      <c r="G29" s="6" t="s">
        <v>40</v>
      </c>
    </row>
    <row r="30" ht="14.25">
      <c r="A30" s="6"/>
      <c r="B30" s="6" t="s">
        <v>69</v>
      </c>
      <c r="C30" s="24">
        <f>C15*24*365*C29/1000*5</f>
        <v>262.80000000000001</v>
      </c>
      <c r="D30" s="6"/>
      <c r="E30" s="6"/>
      <c r="F30" s="6"/>
      <c r="G30" s="6" t="s">
        <v>40</v>
      </c>
    </row>
    <row r="31" ht="14.25">
      <c r="B31" s="6" t="s">
        <v>70</v>
      </c>
      <c r="C31" s="23">
        <f>C27-C30-C28</f>
        <v>51231.279999999999</v>
      </c>
    </row>
    <row r="32" ht="14.25">
      <c r="B32" s="6"/>
      <c r="C32" s="23"/>
    </row>
    <row r="33" ht="14.25">
      <c r="B33" t="s">
        <v>71</v>
      </c>
      <c r="C33" s="26">
        <f>(C27-(C28+C30))/(C28+C30)</f>
        <v>30.810247774837624</v>
      </c>
      <c r="E33" s="8"/>
      <c r="F33" s="8"/>
    </row>
    <row r="34" ht="14.25"/>
    <row r="35" ht="14.25"/>
    <row r="36" ht="14.25">
      <c r="B36" s="27" t="s">
        <v>72</v>
      </c>
    </row>
    <row r="37" ht="14.25">
      <c r="B37" s="28" t="s">
        <v>73</v>
      </c>
    </row>
    <row r="38" ht="14.25">
      <c r="B38" s="28" t="s">
        <v>74</v>
      </c>
    </row>
    <row r="39" ht="14.25">
      <c r="B39" s="28" t="s">
        <v>75</v>
      </c>
    </row>
    <row r="40" ht="14.25">
      <c r="B40" s="28" t="s">
        <v>76</v>
      </c>
      <c r="G40" s="28"/>
    </row>
    <row r="41" ht="14.25">
      <c r="B41" s="29" t="s">
        <v>77</v>
      </c>
    </row>
    <row r="42" ht="14.25">
      <c r="B42" s="28" t="s">
        <v>78</v>
      </c>
    </row>
    <row r="43" ht="14.25">
      <c r="B43" s="28" t="s">
        <v>79</v>
      </c>
    </row>
    <row r="44" ht="14.25">
      <c r="B44" s="28"/>
    </row>
    <row r="45" ht="14.25">
      <c r="B45" s="30"/>
    </row>
    <row r="46" ht="14.25">
      <c r="B46" s="30"/>
    </row>
    <row r="47" ht="14.25">
      <c r="B47" s="31"/>
    </row>
    <row r="48" ht="14.25">
      <c r="B48" s="32" t="s">
        <v>80</v>
      </c>
    </row>
    <row r="49" ht="14.25"/>
    <row r="50" ht="14.25"/>
    <row r="51" ht="14.25">
      <c r="B51" s="1" t="s">
        <v>81</v>
      </c>
    </row>
    <row r="52" ht="14.25">
      <c r="B52" s="1" t="s">
        <v>82</v>
      </c>
    </row>
  </sheetData>
  <hyperlinks>
    <hyperlink r:id="rId1" ref="B48" tooltip=""/>
    <hyperlink r:id="rId2" ref="B49"/>
  </hyperlinks>
  <printOptions headings="0" gridLines="0" gridLinesSet="0"/>
  <pageMargins left="0.70078740157480324" right="0.70078740157480324" top="0.75196850393700787" bottom="0.75196850393700787" header="0.29999999999999999" footer="0.29999999999999999"/>
  <pageSetup blackAndWhite="0" cellComments="none" copies="1" draft="0" errors="displayed" firstPageNumber="-1" fitToHeight="1" fitToWidth="1" horizontalDpi="600" orientation="portrait" pageOrder="downThenOver" paperSize="9" scale="100" useFirstPageNumber="0" usePrinterDefaults="1" verticalDpi="600"/>
  <headerFooter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ONLYOFFICE/0.0.0.0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Anonymous</cp:lastModifiedBy>
  <cp:revision>6</cp:revision>
  <dcterms:modified xsi:type="dcterms:W3CDTF">2021-08-30T09:35:43Z</dcterms:modified>
</cp:coreProperties>
</file>